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1"/>
  </bookViews>
  <sheets>
    <sheet name="2010" sheetId="1" r:id="rId1"/>
    <sheet name="2011" sheetId="2" r:id="rId2"/>
    <sheet name="Лист1" sheetId="3" r:id="rId3"/>
    <sheet name="ольгино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<sst xmlns="http://schemas.openxmlformats.org/spreadsheetml/2006/main" count="230" uniqueCount="179">
  <si>
    <t>Смета доходо-расходов</t>
  </si>
  <si>
    <t>Наименование</t>
  </si>
  <si>
    <t>приход</t>
  </si>
  <si>
    <t>расход</t>
  </si>
  <si>
    <t>Содержание и текущий ремонт</t>
  </si>
  <si>
    <t>депоз. договор</t>
  </si>
  <si>
    <t>ГУП ЖКХ</t>
  </si>
  <si>
    <t>Итого</t>
  </si>
  <si>
    <t>Процент банка с Ком. Платежей</t>
  </si>
  <si>
    <t>Освещение мест общего пользования</t>
  </si>
  <si>
    <t>З/пл</t>
  </si>
  <si>
    <t>Налоги с ФОТ</t>
  </si>
  <si>
    <t>Налоги при УСН</t>
  </si>
  <si>
    <t>Кап. Ремонт</t>
  </si>
  <si>
    <t>Остаток</t>
  </si>
  <si>
    <t>Председатель</t>
  </si>
  <si>
    <t>бухгалтер</t>
  </si>
  <si>
    <t>уборщик подъездов</t>
  </si>
  <si>
    <t>сантехник</t>
  </si>
  <si>
    <t>дворник</t>
  </si>
  <si>
    <t>часов</t>
  </si>
  <si>
    <t>Уборка 1 этажей</t>
  </si>
  <si>
    <t>Сухая уборка 1 р в неделю</t>
  </si>
  <si>
    <t>Влажная уборка 1 раз в месяц</t>
  </si>
  <si>
    <t>в МЕСЯЦ</t>
  </si>
  <si>
    <t>СТОИМ 1 Ч.</t>
  </si>
  <si>
    <t>Услуги РКЦ</t>
  </si>
  <si>
    <t>Услуги банка</t>
  </si>
  <si>
    <t>Подготовка кадров</t>
  </si>
  <si>
    <t>Канцтовары. Почтовые услуги</t>
  </si>
  <si>
    <t>гсм</t>
  </si>
  <si>
    <t>дератизация</t>
  </si>
  <si>
    <t>страхование (лифты и общегражданской ответственности)</t>
  </si>
  <si>
    <t>Обновление бухгалтерской программы 1с8,2</t>
  </si>
  <si>
    <t>Ревизия и ремонт поэтажных считков</t>
  </si>
  <si>
    <t>Механизированная уборка снега</t>
  </si>
  <si>
    <t>Комиссия за прием квартплаты</t>
  </si>
  <si>
    <t>Обслуживание приборов учета</t>
  </si>
  <si>
    <t>Утверждена решением общего собрания</t>
  </si>
  <si>
    <t>собственников дома Академгородок Д.24</t>
  </si>
  <si>
    <t>29.04.2010 г.</t>
  </si>
  <si>
    <t>Председатель ТСЖ Академ-24</t>
  </si>
  <si>
    <t>Бельский А.Е</t>
  </si>
  <si>
    <t>Смета доходо-расходов на 2010 г.на обслуживание дома Академгородок , д.24</t>
  </si>
  <si>
    <t>Статьи расходов и доходов</t>
  </si>
  <si>
    <t>Сумма за год</t>
  </si>
  <si>
    <t>Общая Площадь  11079 кв.м.</t>
  </si>
  <si>
    <t>Содержание и текущий ремонт общего имущеста в доме , Вывоз ТБО, содержание лифтов</t>
  </si>
  <si>
    <t>Итого доходов</t>
  </si>
  <si>
    <t>ГУП ЖКХ (вывоз ТБО , Диспетчерская, паспортная, аварийная службы)</t>
  </si>
  <si>
    <t>РАСХОДЫ</t>
  </si>
  <si>
    <t>ДОХОДЫ</t>
  </si>
  <si>
    <t>Техобслуживание лифтов</t>
  </si>
  <si>
    <t>Испытание лифтов</t>
  </si>
  <si>
    <t>Спецодежда</t>
  </si>
  <si>
    <t>Непридвиденные расходы</t>
  </si>
  <si>
    <t xml:space="preserve">Расходные для оргтехники </t>
  </si>
  <si>
    <t>Материалы для сантехника</t>
  </si>
  <si>
    <t>Материалы для электричества</t>
  </si>
  <si>
    <t>Материалы  в т.ч.:</t>
  </si>
  <si>
    <t>Материалы для уборщицы</t>
  </si>
  <si>
    <t>Материалы и инвенталь для дворника</t>
  </si>
  <si>
    <t>Оборудование для системы отопления и водоснабжения</t>
  </si>
  <si>
    <t>Оборудование для рабочего места</t>
  </si>
  <si>
    <t>Зарплата Справочно :</t>
  </si>
  <si>
    <t>Оргтехника</t>
  </si>
  <si>
    <t>Ревизия и ремонт поэтажных сщитков</t>
  </si>
  <si>
    <t>К выплате</t>
  </si>
  <si>
    <t>Оргтехника( МФУ)</t>
  </si>
  <si>
    <t>Окна 5 подъезд</t>
  </si>
  <si>
    <t>Подъездные двери 2 шт</t>
  </si>
  <si>
    <t>автоматизированная система сбора с приборов учета (отопление, эл-во, хвс, гор вода)</t>
  </si>
  <si>
    <r>
      <t>2010 год</t>
    </r>
    <r>
      <rPr>
        <b/>
        <vertAlign val="superscript"/>
        <sz val="9"/>
        <color indexed="8"/>
        <rFont val="Arial"/>
        <family val="2"/>
      </rPr>
      <t>1</t>
    </r>
  </si>
  <si>
    <t>месяц</t>
  </si>
  <si>
    <t>год</t>
  </si>
  <si>
    <t>Заработная плата (служба эксплуатации)</t>
  </si>
  <si>
    <t>Доплаты (переработка, расширенная зона обслуживания, премии)</t>
  </si>
  <si>
    <t>Заработная плата АУП ТСЖ</t>
  </si>
  <si>
    <r>
      <t>Начисления на заработную плату (14,2% )</t>
    </r>
    <r>
      <rPr>
        <vertAlign val="superscript"/>
        <sz val="9"/>
        <color indexed="8"/>
        <rFont val="Arial"/>
        <family val="2"/>
      </rPr>
      <t>2</t>
    </r>
  </si>
  <si>
    <r>
      <t>Прочие расходы АУП (комп., канц., аренда, инт., типогр., тел...)</t>
    </r>
    <r>
      <rPr>
        <vertAlign val="superscript"/>
        <sz val="9"/>
        <color indexed="8"/>
        <rFont val="Arial"/>
        <family val="2"/>
      </rPr>
      <t>3</t>
    </r>
  </si>
  <si>
    <t>Прочие расходы МОП (спец.одежда, инвентарь, хим.средства) </t>
  </si>
  <si>
    <t>Содержание домохозяйства (уборочная техника, ГСМ)</t>
  </si>
  <si>
    <r>
      <t>Материалы (в т.ч. на обслуживание ИТП)</t>
    </r>
    <r>
      <rPr>
        <vertAlign val="superscript"/>
        <sz val="9"/>
        <color indexed="8"/>
        <rFont val="Arial"/>
        <family val="2"/>
      </rPr>
      <t>4</t>
    </r>
  </si>
  <si>
    <t>Прочие расходы РТР (спец. одежда, инвентарь, хим.средства)</t>
  </si>
  <si>
    <t>Тех.обслуживание ДУ и ППА</t>
  </si>
  <si>
    <t>Эл. эн. МОП (в том числе лифты, ИТП)</t>
  </si>
  <si>
    <t>Тех. обслуживание вент. каналов</t>
  </si>
  <si>
    <r>
      <t>Эл. измерит. работы</t>
    </r>
    <r>
      <rPr>
        <vertAlign val="superscript"/>
        <sz val="9"/>
        <color indexed="8"/>
        <rFont val="Arial"/>
        <family val="2"/>
      </rPr>
      <t>5</t>
    </r>
  </si>
  <si>
    <t>Расходы на паспортную службу</t>
  </si>
  <si>
    <t>Кассовое обслуживание</t>
  </si>
  <si>
    <t>Тех. обслуживание лифтов</t>
  </si>
  <si>
    <t>Тех. обслуживание ИТП</t>
  </si>
  <si>
    <t>Услуги банка (с учетом «банк-клиент»)</t>
  </si>
  <si>
    <t>Итого расходов</t>
  </si>
  <si>
    <t>Налоги</t>
  </si>
  <si>
    <t>ИТОГО с налогами</t>
  </si>
  <si>
    <t>Доход ТСЖ (аренда, платные услуги) с учетом налогов</t>
  </si>
  <si>
    <t>ВСЕГО РАСХОДОВ (с учетом доходов)</t>
  </si>
  <si>
    <t>ТО за 1 кв.м площади в месяц </t>
  </si>
  <si>
    <t>1. себестоимость за 2010 год рассчитана при условии 100% оплаты, с учетом удорожания услуг поставщиков (лифты, ИТП, эл. энергия...) и без учета расходов на вывоз ТБО (приняты решением общего собрания из расчета фактически понесенных затрат по статье «Вывоз ТБО»).</t>
  </si>
  <si>
    <t>2. начисления на з/п 14,2% в связи с переходом на упрощенную систему налогообложения</t>
  </si>
  <si>
    <t>3. с учетом арендной платы за помещение для бухгалтерии</t>
  </si>
  <si>
    <t>4. материалы рассчитаны с учетом модернизаций инженерных систем и благоустройства территории</t>
  </si>
  <si>
    <t>5. с учетом плановой работы по замеру сопротивлений изоляции эл. оборудования (срок поверки)</t>
  </si>
  <si>
    <t>Таблица 3</t>
  </si>
  <si>
    <t>№</t>
  </si>
  <si>
    <t>Наименование должности</t>
  </si>
  <si>
    <t>2009 год</t>
  </si>
  <si>
    <t>Числ.</t>
  </si>
  <si>
    <t>Оклад</t>
  </si>
  <si>
    <t>ФОТ</t>
  </si>
  <si>
    <t>1.</t>
  </si>
  <si>
    <t>Главный инженер</t>
  </si>
  <si>
    <t>2.</t>
  </si>
  <si>
    <t>Техник по благоустройству</t>
  </si>
  <si>
    <t>3.</t>
  </si>
  <si>
    <t>Старший мастер</t>
  </si>
  <si>
    <t>4.</t>
  </si>
  <si>
    <t>Мастер участка</t>
  </si>
  <si>
    <t>5.</t>
  </si>
  <si>
    <t>Инженер теплотехник</t>
  </si>
  <si>
    <t>6.</t>
  </si>
  <si>
    <t>Водитель трактора</t>
  </si>
  <si>
    <t>7.</t>
  </si>
  <si>
    <t>Слесарь</t>
  </si>
  <si>
    <t>8.</t>
  </si>
  <si>
    <t>Электрик</t>
  </si>
  <si>
    <t>9.</t>
  </si>
  <si>
    <t>Уборщик ТСЖ</t>
  </si>
  <si>
    <t>10.</t>
  </si>
  <si>
    <t>Диспечер</t>
  </si>
  <si>
    <t>11.</t>
  </si>
  <si>
    <t>Уборщик подъездов-консъерж</t>
  </si>
  <si>
    <t>12.</t>
  </si>
  <si>
    <t>Дворники</t>
  </si>
  <si>
    <t>13.</t>
  </si>
  <si>
    <t>Кровельщик</t>
  </si>
  <si>
    <t>14.</t>
  </si>
  <si>
    <t>Плотник</t>
  </si>
  <si>
    <t>15.</t>
  </si>
  <si>
    <t>Маляр-штукатур</t>
  </si>
  <si>
    <t>16.</t>
  </si>
  <si>
    <t>Завхоз</t>
  </si>
  <si>
    <t>17.</t>
  </si>
  <si>
    <t>Разнорабочий</t>
  </si>
  <si>
    <t>18.</t>
  </si>
  <si>
    <t>Электрогазосварщик</t>
  </si>
  <si>
    <t>ВСЕГО</t>
  </si>
  <si>
    <t>смета ТСЖ Новое Ольгино</t>
  </si>
  <si>
    <t>Бухгалтер</t>
  </si>
  <si>
    <t>Уборщица</t>
  </si>
  <si>
    <t>Дворник</t>
  </si>
  <si>
    <t>Месяц</t>
  </si>
  <si>
    <t>Год</t>
  </si>
  <si>
    <t>Информационные и юридические услуги</t>
  </si>
  <si>
    <t>Резерв отпуска 9,9 %</t>
  </si>
  <si>
    <t>Подоходный налог</t>
  </si>
  <si>
    <t>Отчисления в фонды</t>
  </si>
  <si>
    <t>ГУП ЖКХ (  паспортная, аварийная службы)</t>
  </si>
  <si>
    <t>Вывоз ТБО</t>
  </si>
  <si>
    <t>Дератизация</t>
  </si>
  <si>
    <t>Администрирование базы лицевых счетов</t>
  </si>
  <si>
    <t>Услуги банка (РКО , Банк-клиент)</t>
  </si>
  <si>
    <t>Освещение мест общего пользования эл-во</t>
  </si>
  <si>
    <t>Комиссия за прием квартплаты 2,5 % от суммы платежа</t>
  </si>
  <si>
    <t>Материалы для электричества (лампочки)</t>
  </si>
  <si>
    <t>Ремонт  системы отопления и водоснабжения</t>
  </si>
  <si>
    <t>Смета доходов-расходов на 2011 г.на обслуживание дома Академгородок , д.24</t>
  </si>
  <si>
    <t>(15,21+2,03+4,79)*11079</t>
  </si>
  <si>
    <t>Фонд оплаты труда (Фот)</t>
  </si>
  <si>
    <t>Озеленитель (май -сентябрь)</t>
  </si>
  <si>
    <t>Общедомовые счетчики ХВС.Установка</t>
  </si>
  <si>
    <t>расположенного по адресу : Академгородок , д. 24 , протокол от 28.03.2011 г.</t>
  </si>
  <si>
    <t>Обслуживание  приборов учета тепловой энергии</t>
  </si>
  <si>
    <t>Утверждено общим собранием собственников помещений многоквартирного дома ,</t>
  </si>
  <si>
    <t>ГСМ( Снегоуборочник, паяльная лампа,бензокоса)</t>
  </si>
  <si>
    <t>Ремонт 1 этажей (1-5 )</t>
  </si>
  <si>
    <t>Незапланированные и непредвиденные расходы</t>
  </si>
  <si>
    <t>Cтрахование (лифты и общегражданской ответственности)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</si>
</sst>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FFFFFF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wrapText="1"/>
    </xf>
    <xf numFmtId="3" fontId="43" fillId="33" borderId="10" xfId="0" applyNumberFormat="1" applyFont="1" applyFill="1" applyBorder="1" applyAlignment="1">
      <alignment horizontal="right" wrapText="1"/>
    </xf>
    <xf numFmtId="4" fontId="42" fillId="33" borderId="10" xfId="0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horizontal="right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8" xfId="0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0" fillId="33" borderId="0" xfId="0" applyFill="1" applyAlignment="1">
      <alignment horizontal="left" vertical="top" wrapText="1" indent="1"/>
    </xf>
    <xf numFmtId="0" fontId="43" fillId="33" borderId="0" xfId="0" applyFont="1" applyFill="1" applyAlignment="1">
      <alignment horizontal="left" vertical="top" wrapText="1" indent="1"/>
    </xf>
    <xf numFmtId="0" fontId="0" fillId="33" borderId="20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3" fillId="33" borderId="0" xfId="0" applyFont="1" applyFill="1" applyAlignment="1">
      <alignment vertical="top" wrapText="1"/>
    </xf>
    <xf numFmtId="0" fontId="42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7">
      <selection activeCell="C16" sqref="C16"/>
    </sheetView>
  </sheetViews>
  <sheetFormatPr defaultColWidth="9.00390625" defaultRowHeight="12.75"/>
  <cols>
    <col min="1" max="1" width="48.75390625" style="0" customWidth="1"/>
    <col min="2" max="2" width="21.25390625" style="1" customWidth="1"/>
    <col min="3" max="3" width="22.75390625" style="1" customWidth="1"/>
  </cols>
  <sheetData>
    <row r="1" ht="12.75">
      <c r="B1" s="1" t="s">
        <v>38</v>
      </c>
    </row>
    <row r="2" ht="12.75">
      <c r="B2" s="1" t="s">
        <v>39</v>
      </c>
    </row>
    <row r="3" ht="12.75">
      <c r="B3" s="1" t="s">
        <v>40</v>
      </c>
    </row>
    <row r="4" ht="12.75">
      <c r="B4" s="1" t="s">
        <v>41</v>
      </c>
    </row>
    <row r="6" ht="12.75">
      <c r="C6" s="1" t="s">
        <v>42</v>
      </c>
    </row>
    <row r="9" ht="12.75">
      <c r="A9" t="s">
        <v>43</v>
      </c>
    </row>
    <row r="10" ht="12.75">
      <c r="A10" t="s">
        <v>46</v>
      </c>
    </row>
    <row r="11" spans="1:2" ht="12.75">
      <c r="A11" s="3" t="s">
        <v>44</v>
      </c>
      <c r="B11" s="4" t="s">
        <v>45</v>
      </c>
    </row>
    <row r="13" spans="1:2" ht="12.75">
      <c r="A13" s="22" t="s">
        <v>51</v>
      </c>
      <c r="B13" s="22"/>
    </row>
    <row r="14" spans="1:2" ht="25.5">
      <c r="A14" s="2" t="s">
        <v>47</v>
      </c>
      <c r="B14" s="1">
        <f>11079*(13.57+4.3+1.82)*12</f>
        <v>2617746.12</v>
      </c>
    </row>
    <row r="15" spans="1:2" ht="12.75">
      <c r="A15" t="s">
        <v>5</v>
      </c>
      <c r="B15" s="1">
        <v>77000</v>
      </c>
    </row>
    <row r="16" spans="1:2" ht="12.75">
      <c r="A16" s="3" t="s">
        <v>48</v>
      </c>
      <c r="B16" s="4">
        <f>SUM(B14:B15)</f>
        <v>2694746.12</v>
      </c>
    </row>
    <row r="17" spans="1:2" ht="12.75">
      <c r="A17" s="3"/>
      <c r="B17" s="4"/>
    </row>
    <row r="18" spans="1:2" ht="12.75">
      <c r="A18" s="22" t="s">
        <v>50</v>
      </c>
      <c r="B18" s="23"/>
    </row>
    <row r="20" spans="1:2" ht="25.5">
      <c r="A20" s="2" t="s">
        <v>49</v>
      </c>
      <c r="B20" s="1">
        <f>(22132+58953+13776)*12</f>
        <v>1138332</v>
      </c>
    </row>
    <row r="21" spans="1:2" ht="12.75">
      <c r="A21" t="s">
        <v>37</v>
      </c>
      <c r="B21" s="1">
        <f>2500*12</f>
        <v>30000</v>
      </c>
    </row>
    <row r="22" spans="1:2" ht="12.75">
      <c r="A22" t="s">
        <v>26</v>
      </c>
      <c r="B22" s="1">
        <f>2890*12</f>
        <v>34680</v>
      </c>
    </row>
    <row r="23" spans="1:2" ht="12.75">
      <c r="A23" t="s">
        <v>36</v>
      </c>
      <c r="B23" s="1">
        <f>B16*0.03</f>
        <v>80842.3836</v>
      </c>
    </row>
    <row r="24" spans="1:2" ht="12.75">
      <c r="A24" t="s">
        <v>27</v>
      </c>
      <c r="B24" s="1">
        <v>64900</v>
      </c>
    </row>
    <row r="25" spans="1:2" ht="12.75">
      <c r="A25" t="s">
        <v>8</v>
      </c>
      <c r="B25" s="1">
        <v>22109</v>
      </c>
    </row>
    <row r="26" spans="1:2" ht="12.75">
      <c r="A26" t="s">
        <v>28</v>
      </c>
      <c r="B26" s="1">
        <v>15000</v>
      </c>
    </row>
    <row r="27" spans="1:2" ht="12.75">
      <c r="A27" t="s">
        <v>9</v>
      </c>
      <c r="B27" s="1">
        <f>2000*12</f>
        <v>24000</v>
      </c>
    </row>
    <row r="28" spans="1:2" ht="12.75">
      <c r="A28" t="s">
        <v>10</v>
      </c>
      <c r="B28" s="1">
        <f>32000*12/0.87</f>
        <v>441379.3103448276</v>
      </c>
    </row>
    <row r="29" spans="1:2" ht="12.75">
      <c r="A29" t="s">
        <v>11</v>
      </c>
      <c r="B29" s="1">
        <f>B28*0.14</f>
        <v>61793.10344827587</v>
      </c>
    </row>
    <row r="30" spans="1:2" ht="12.75">
      <c r="A30" t="s">
        <v>12</v>
      </c>
      <c r="B30" s="1">
        <f>B16*0.01</f>
        <v>26947.4612</v>
      </c>
    </row>
    <row r="31" spans="1:2" ht="12.75">
      <c r="A31" t="s">
        <v>29</v>
      </c>
      <c r="B31" s="1">
        <v>5000</v>
      </c>
    </row>
    <row r="32" spans="1:2" ht="12.75">
      <c r="A32" t="s">
        <v>66</v>
      </c>
      <c r="B32" s="1">
        <v>130000</v>
      </c>
    </row>
    <row r="33" spans="1:2" ht="12.75">
      <c r="A33" t="s">
        <v>30</v>
      </c>
      <c r="B33" s="1">
        <v>2000</v>
      </c>
    </row>
    <row r="34" spans="1:2" ht="12.75">
      <c r="A34" t="s">
        <v>31</v>
      </c>
      <c r="B34" s="1">
        <v>2500</v>
      </c>
    </row>
    <row r="35" spans="1:2" ht="12.75">
      <c r="A35" t="s">
        <v>32</v>
      </c>
      <c r="B35" s="1">
        <v>11500</v>
      </c>
    </row>
    <row r="36" spans="1:2" ht="12.75">
      <c r="A36" t="s">
        <v>33</v>
      </c>
      <c r="B36" s="1">
        <v>10000</v>
      </c>
    </row>
    <row r="37" spans="1:2" ht="12.75">
      <c r="A37" t="s">
        <v>35</v>
      </c>
      <c r="B37" s="1">
        <v>20000</v>
      </c>
    </row>
    <row r="38" spans="1:2" ht="12.75">
      <c r="A38" t="s">
        <v>53</v>
      </c>
      <c r="B38" s="1">
        <v>18000</v>
      </c>
    </row>
    <row r="39" spans="1:2" ht="12.75">
      <c r="A39" t="s">
        <v>52</v>
      </c>
      <c r="B39" s="1">
        <f>16875*12</f>
        <v>202500</v>
      </c>
    </row>
    <row r="40" spans="1:2" ht="12.75">
      <c r="A40" t="s">
        <v>54</v>
      </c>
      <c r="B40" s="1">
        <v>1000</v>
      </c>
    </row>
    <row r="41" spans="1:2" ht="12.75">
      <c r="A41" t="s">
        <v>55</v>
      </c>
      <c r="B41" s="1">
        <f>120000+107262</f>
        <v>227262</v>
      </c>
    </row>
    <row r="42" spans="1:2" ht="12.75">
      <c r="A42" t="s">
        <v>65</v>
      </c>
      <c r="B42" s="1">
        <v>10000</v>
      </c>
    </row>
    <row r="43" ht="12.75">
      <c r="A43" t="s">
        <v>59</v>
      </c>
    </row>
    <row r="44" spans="1:2" ht="12.75">
      <c r="A44" t="s">
        <v>56</v>
      </c>
      <c r="B44" s="1">
        <v>10000</v>
      </c>
    </row>
    <row r="45" spans="1:2" ht="12.75">
      <c r="A45" t="s">
        <v>57</v>
      </c>
      <c r="B45" s="1">
        <v>6000</v>
      </c>
    </row>
    <row r="46" spans="1:2" ht="12.75">
      <c r="A46" t="s">
        <v>58</v>
      </c>
      <c r="B46" s="1">
        <v>30000</v>
      </c>
    </row>
    <row r="47" spans="1:2" ht="12.75">
      <c r="A47" t="s">
        <v>60</v>
      </c>
      <c r="B47" s="1">
        <v>3000</v>
      </c>
    </row>
    <row r="48" spans="1:2" ht="12.75">
      <c r="A48" t="s">
        <v>61</v>
      </c>
      <c r="B48" s="1">
        <v>10000</v>
      </c>
    </row>
    <row r="49" spans="1:2" ht="25.5">
      <c r="A49" s="2" t="s">
        <v>62</v>
      </c>
      <c r="B49" s="1">
        <v>50000</v>
      </c>
    </row>
    <row r="50" spans="1:2" ht="12.75">
      <c r="A50" s="2" t="s">
        <v>63</v>
      </c>
      <c r="B50" s="1">
        <v>6000</v>
      </c>
    </row>
    <row r="51" spans="1:3" s="3" customFormat="1" ht="12.75">
      <c r="A51" s="3" t="s">
        <v>7</v>
      </c>
      <c r="B51" s="4">
        <f>SUM(B20:B50)</f>
        <v>2694745.258593104</v>
      </c>
      <c r="C51" s="4"/>
    </row>
    <row r="52" spans="1:2" ht="12.75">
      <c r="A52" t="s">
        <v>14</v>
      </c>
      <c r="B52" s="1">
        <f>B16-B51</f>
        <v>0.861406896263361</v>
      </c>
    </row>
    <row r="53" spans="1:3" ht="12.75">
      <c r="A53" s="3" t="s">
        <v>64</v>
      </c>
      <c r="C53" s="1" t="s">
        <v>67</v>
      </c>
    </row>
    <row r="54" spans="1:3" ht="12.75">
      <c r="A54" t="s">
        <v>15</v>
      </c>
      <c r="B54" s="1">
        <f>10000/0.87</f>
        <v>11494.252873563219</v>
      </c>
      <c r="C54" s="1">
        <f>B54*0.87</f>
        <v>10000</v>
      </c>
    </row>
    <row r="55" spans="1:3" ht="12.75">
      <c r="A55" t="s">
        <v>16</v>
      </c>
      <c r="B55" s="1">
        <f>5000/0.87</f>
        <v>5747.126436781609</v>
      </c>
      <c r="C55" s="1">
        <f>B55*0.87</f>
        <v>5000</v>
      </c>
    </row>
    <row r="56" spans="1:3" ht="12.75">
      <c r="A56" t="s">
        <v>17</v>
      </c>
      <c r="B56" s="1">
        <f>8000/0.87</f>
        <v>9195.402298850575</v>
      </c>
      <c r="C56" s="1">
        <f>B56*0.87</f>
        <v>8000</v>
      </c>
    </row>
    <row r="57" spans="1:3" ht="12.75">
      <c r="A57" t="s">
        <v>18</v>
      </c>
      <c r="B57" s="1">
        <f>3000/0.87</f>
        <v>3448.2758620689656</v>
      </c>
      <c r="C57" s="1">
        <f>B57*0.87</f>
        <v>3000</v>
      </c>
    </row>
    <row r="58" spans="1:3" ht="12.75">
      <c r="A58" t="s">
        <v>19</v>
      </c>
      <c r="B58" s="1">
        <f>5500/0.87</f>
        <v>6321.83908045977</v>
      </c>
      <c r="C58" s="1">
        <f>B58*0.87</f>
        <v>5500</v>
      </c>
    </row>
  </sheetData>
  <sheetProtection/>
  <mergeCells count="2">
    <mergeCell ref="A13:B13"/>
    <mergeCell ref="A18:B18"/>
  </mergeCells>
  <printOptions gridLines="1"/>
  <pageMargins left="0.45" right="0.35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6">
      <selection activeCell="A27" sqref="A27"/>
    </sheetView>
  </sheetViews>
  <sheetFormatPr defaultColWidth="9.00390625" defaultRowHeight="12.75"/>
  <cols>
    <col min="1" max="1" width="53.75390625" style="0" customWidth="1"/>
    <col min="2" max="2" width="19.25390625" style="1" customWidth="1"/>
    <col min="3" max="3" width="22.75390625" style="1" customWidth="1"/>
    <col min="4" max="4" width="10.125" style="0" bestFit="1" customWidth="1"/>
  </cols>
  <sheetData>
    <row r="1" ht="12.75">
      <c r="A1" s="3" t="s">
        <v>174</v>
      </c>
    </row>
    <row r="2" ht="12.75">
      <c r="A2" t="s">
        <v>172</v>
      </c>
    </row>
    <row r="4" ht="12.75">
      <c r="A4" t="s">
        <v>167</v>
      </c>
    </row>
    <row r="5" ht="12.75">
      <c r="A5" t="s">
        <v>46</v>
      </c>
    </row>
    <row r="6" spans="1:2" ht="12.75">
      <c r="A6" s="3" t="s">
        <v>44</v>
      </c>
      <c r="B6" s="4" t="s">
        <v>45</v>
      </c>
    </row>
    <row r="8" spans="1:2" ht="12.75">
      <c r="A8" s="22" t="s">
        <v>51</v>
      </c>
      <c r="B8" s="22"/>
    </row>
    <row r="9" spans="1:3" ht="25.5">
      <c r="A9" s="2" t="s">
        <v>47</v>
      </c>
      <c r="B9" s="1">
        <f>11079*(15.21+2.03+4.79)*12</f>
        <v>2928844.4400000004</v>
      </c>
      <c r="C9" s="1" t="s">
        <v>168</v>
      </c>
    </row>
    <row r="10" spans="1:2" ht="12.75">
      <c r="A10" t="s">
        <v>5</v>
      </c>
      <c r="B10" s="1">
        <v>77000</v>
      </c>
    </row>
    <row r="11" spans="1:3" ht="12.75">
      <c r="A11" s="3" t="s">
        <v>48</v>
      </c>
      <c r="B11" s="4">
        <f>SUM(B9:B10)</f>
        <v>3005844.4400000004</v>
      </c>
      <c r="C11" s="4"/>
    </row>
    <row r="12" spans="1:2" ht="12.75">
      <c r="A12" s="22" t="s">
        <v>50</v>
      </c>
      <c r="B12" s="23"/>
    </row>
    <row r="13" spans="1:2" ht="12.75">
      <c r="A13" s="2" t="s">
        <v>158</v>
      </c>
      <c r="B13" s="1">
        <v>792328</v>
      </c>
    </row>
    <row r="14" spans="1:2" ht="12.75">
      <c r="A14" s="2" t="s">
        <v>159</v>
      </c>
      <c r="B14" s="1">
        <v>298000</v>
      </c>
    </row>
    <row r="15" spans="1:2" ht="12.75">
      <c r="A15" t="s">
        <v>173</v>
      </c>
      <c r="B15" s="1">
        <v>30000</v>
      </c>
    </row>
    <row r="16" spans="1:2" ht="12.75">
      <c r="A16" t="s">
        <v>161</v>
      </c>
      <c r="B16" s="1">
        <v>36000</v>
      </c>
    </row>
    <row r="17" spans="1:2" ht="12.75">
      <c r="A17" s="2" t="s">
        <v>164</v>
      </c>
      <c r="B17" s="1">
        <v>0</v>
      </c>
    </row>
    <row r="18" spans="1:2" ht="12.75">
      <c r="A18" t="s">
        <v>162</v>
      </c>
      <c r="B18" s="1">
        <v>30000</v>
      </c>
    </row>
    <row r="19" spans="1:2" ht="15">
      <c r="A19" t="s">
        <v>154</v>
      </c>
      <c r="B19" s="20">
        <v>25000</v>
      </c>
    </row>
    <row r="20" spans="1:2" ht="12.75">
      <c r="A20" t="s">
        <v>163</v>
      </c>
      <c r="B20" s="1">
        <v>20000</v>
      </c>
    </row>
    <row r="21" spans="1:2" ht="12.75">
      <c r="A21" t="s">
        <v>169</v>
      </c>
      <c r="B21" s="1">
        <v>480263</v>
      </c>
    </row>
    <row r="22" spans="1:2" ht="12.75">
      <c r="A22" t="s">
        <v>11</v>
      </c>
      <c r="B22" s="1">
        <v>259452</v>
      </c>
    </row>
    <row r="23" spans="1:2" ht="12.75">
      <c r="A23" t="s">
        <v>12</v>
      </c>
      <c r="B23" s="1">
        <v>70000</v>
      </c>
    </row>
    <row r="24" spans="1:2" ht="12.75">
      <c r="A24" t="s">
        <v>29</v>
      </c>
      <c r="B24" s="1">
        <v>1500</v>
      </c>
    </row>
    <row r="25" spans="1:2" ht="12.75">
      <c r="A25" t="s">
        <v>175</v>
      </c>
      <c r="B25" s="1">
        <v>2000</v>
      </c>
    </row>
    <row r="26" spans="1:2" ht="12.75">
      <c r="A26" t="s">
        <v>160</v>
      </c>
      <c r="B26" s="1">
        <f>1400*12</f>
        <v>16800</v>
      </c>
    </row>
    <row r="27" spans="1:2" ht="12.75">
      <c r="A27" t="s">
        <v>178</v>
      </c>
      <c r="B27" s="1">
        <v>12000</v>
      </c>
    </row>
    <row r="28" spans="1:2" ht="12.75">
      <c r="A28" t="s">
        <v>33</v>
      </c>
      <c r="B28" s="1">
        <v>10000</v>
      </c>
    </row>
    <row r="29" spans="1:2" ht="12.75">
      <c r="A29" t="s">
        <v>35</v>
      </c>
      <c r="B29" s="1">
        <v>4000</v>
      </c>
    </row>
    <row r="30" spans="1:2" ht="12.75">
      <c r="A30" t="s">
        <v>53</v>
      </c>
      <c r="B30" s="1">
        <v>20000</v>
      </c>
    </row>
    <row r="31" spans="1:2" ht="12.75">
      <c r="A31" t="s">
        <v>52</v>
      </c>
      <c r="B31" s="1">
        <v>450000</v>
      </c>
    </row>
    <row r="32" spans="1:2" ht="15">
      <c r="A32" t="s">
        <v>171</v>
      </c>
      <c r="B32" s="20">
        <v>80000</v>
      </c>
    </row>
    <row r="33" spans="1:2" ht="15">
      <c r="A33" t="s">
        <v>176</v>
      </c>
      <c r="B33" s="20">
        <v>100051</v>
      </c>
    </row>
    <row r="34" spans="1:2" ht="12.75">
      <c r="A34" t="s">
        <v>177</v>
      </c>
      <c r="B34" s="1">
        <v>37050</v>
      </c>
    </row>
    <row r="35" spans="1:2" ht="15">
      <c r="A35" t="s">
        <v>68</v>
      </c>
      <c r="B35" s="20">
        <v>6000</v>
      </c>
    </row>
    <row r="36" spans="1:2" ht="15">
      <c r="A36" s="2" t="s">
        <v>166</v>
      </c>
      <c r="B36" s="20">
        <v>50000</v>
      </c>
    </row>
    <row r="37" spans="1:2" ht="15">
      <c r="A37" s="2" t="s">
        <v>69</v>
      </c>
      <c r="B37" s="20">
        <v>50000</v>
      </c>
    </row>
    <row r="38" spans="1:2" ht="15">
      <c r="A38" s="2" t="s">
        <v>70</v>
      </c>
      <c r="B38" s="20">
        <f>56400</f>
        <v>56400</v>
      </c>
    </row>
    <row r="39" spans="1:2" ht="25.5">
      <c r="A39" s="5" t="s">
        <v>71</v>
      </c>
      <c r="B39" s="1">
        <v>20000</v>
      </c>
    </row>
    <row r="40" ht="12.75">
      <c r="A40" t="s">
        <v>59</v>
      </c>
    </row>
    <row r="41" spans="1:2" ht="12.75">
      <c r="A41" t="s">
        <v>56</v>
      </c>
      <c r="B41" s="1">
        <v>8000</v>
      </c>
    </row>
    <row r="42" spans="1:2" ht="12.75">
      <c r="A42" t="s">
        <v>57</v>
      </c>
      <c r="B42" s="1">
        <v>3000</v>
      </c>
    </row>
    <row r="43" spans="1:2" ht="12.75">
      <c r="A43" t="s">
        <v>165</v>
      </c>
      <c r="B43" s="1">
        <v>35000</v>
      </c>
    </row>
    <row r="44" spans="1:2" ht="12.75">
      <c r="A44" t="s">
        <v>60</v>
      </c>
      <c r="B44" s="1">
        <v>2000</v>
      </c>
    </row>
    <row r="45" spans="1:2" ht="12.75">
      <c r="A45" t="s">
        <v>61</v>
      </c>
      <c r="B45" s="1">
        <v>1000</v>
      </c>
    </row>
    <row r="46" spans="1:3" s="3" customFormat="1" ht="12.75">
      <c r="A46" s="3" t="s">
        <v>7</v>
      </c>
      <c r="B46" s="4">
        <f>SUM(B13:B45)</f>
        <v>3005844</v>
      </c>
      <c r="C46" s="4"/>
    </row>
    <row r="47" spans="1:2" ht="12.75">
      <c r="A47" t="s">
        <v>14</v>
      </c>
      <c r="B47" s="4">
        <f>B11-B46</f>
        <v>0.44000000040978193</v>
      </c>
    </row>
    <row r="48" spans="1:3" s="17" customFormat="1" ht="12.75">
      <c r="A48" s="3" t="s">
        <v>64</v>
      </c>
      <c r="B48" s="19" t="s">
        <v>152</v>
      </c>
      <c r="C48" s="19" t="s">
        <v>153</v>
      </c>
    </row>
    <row r="49" spans="1:3" ht="12.75">
      <c r="A49" t="s">
        <v>15</v>
      </c>
      <c r="B49" s="18">
        <v>10000</v>
      </c>
      <c r="C49" s="18">
        <f>B49*12</f>
        <v>120000</v>
      </c>
    </row>
    <row r="50" spans="1:3" ht="12.75">
      <c r="A50" t="s">
        <v>149</v>
      </c>
      <c r="B50" s="18">
        <v>8000</v>
      </c>
      <c r="C50" s="18">
        <f>B50*12</f>
        <v>96000</v>
      </c>
    </row>
    <row r="51" spans="1:3" ht="12.75">
      <c r="A51" t="s">
        <v>150</v>
      </c>
      <c r="B51" s="18">
        <v>8000</v>
      </c>
      <c r="C51" s="18">
        <f>B51*12</f>
        <v>96000</v>
      </c>
    </row>
    <row r="52" spans="1:3" ht="12.75">
      <c r="A52" t="s">
        <v>151</v>
      </c>
      <c r="B52" s="18">
        <v>5500</v>
      </c>
      <c r="C52" s="18">
        <f>B52*7+6500*5</f>
        <v>71000</v>
      </c>
    </row>
    <row r="53" spans="1:3" ht="12.75">
      <c r="A53" t="s">
        <v>124</v>
      </c>
      <c r="B53" s="18">
        <v>3000</v>
      </c>
      <c r="C53" s="18">
        <f>B53*12</f>
        <v>36000</v>
      </c>
    </row>
    <row r="54" spans="1:3" ht="15">
      <c r="A54" t="s">
        <v>170</v>
      </c>
      <c r="B54" s="21">
        <v>3000</v>
      </c>
      <c r="C54" s="18">
        <f>B54*6</f>
        <v>18000</v>
      </c>
    </row>
    <row r="55" spans="2:3" ht="12.75">
      <c r="B55" s="18">
        <f>SUM(B49:B54)</f>
        <v>37500</v>
      </c>
      <c r="C55" s="18">
        <f>SUM(C49:C54)</f>
        <v>437000</v>
      </c>
    </row>
    <row r="56" spans="1:3" ht="12.75">
      <c r="A56" t="s">
        <v>155</v>
      </c>
      <c r="B56" s="18"/>
      <c r="C56" s="18">
        <f>C55*0.099</f>
        <v>43263</v>
      </c>
    </row>
    <row r="57" spans="1:3" ht="12.75">
      <c r="A57" t="s">
        <v>110</v>
      </c>
      <c r="B57" s="18"/>
      <c r="C57" s="18">
        <f>C55+C56</f>
        <v>480263</v>
      </c>
    </row>
    <row r="58" spans="1:4" ht="12.75">
      <c r="A58" t="s">
        <v>156</v>
      </c>
      <c r="B58" s="18"/>
      <c r="C58" s="18">
        <f>C57/0.87-C57</f>
        <v>71763.4367816092</v>
      </c>
      <c r="D58" s="1"/>
    </row>
    <row r="59" spans="1:3" ht="12.75">
      <c r="A59" t="s">
        <v>157</v>
      </c>
      <c r="B59" s="18"/>
      <c r="C59" s="18">
        <f>(C57+C58)*0.34</f>
        <v>187688.98850574714</v>
      </c>
    </row>
    <row r="64" ht="12.75">
      <c r="D64" s="1"/>
    </row>
  </sheetData>
  <sheetProtection/>
  <mergeCells count="2">
    <mergeCell ref="A8:B8"/>
    <mergeCell ref="A12:B12"/>
  </mergeCells>
  <printOptions gridLines="1"/>
  <pageMargins left="0.4330708661417323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8.625" style="0" customWidth="1"/>
    <col min="2" max="2" width="14.625" style="1" customWidth="1"/>
    <col min="3" max="3" width="14.125" style="1" customWidth="1"/>
  </cols>
  <sheetData>
    <row r="1" ht="12.75">
      <c r="A1" t="s">
        <v>0</v>
      </c>
    </row>
    <row r="3" spans="1:3" ht="12.75">
      <c r="A3" t="s">
        <v>1</v>
      </c>
      <c r="B3" s="1" t="s">
        <v>2</v>
      </c>
      <c r="C3" s="1" t="s">
        <v>3</v>
      </c>
    </row>
    <row r="4" spans="1:2" ht="12.75">
      <c r="A4" t="s">
        <v>4</v>
      </c>
      <c r="B4" s="1">
        <f>11079*11.74*12</f>
        <v>1560809.52</v>
      </c>
    </row>
    <row r="5" spans="1:2" ht="12.75">
      <c r="A5" t="s">
        <v>13</v>
      </c>
      <c r="B5" s="1">
        <f>13227*12</f>
        <v>158724</v>
      </c>
    </row>
    <row r="6" spans="1:2" ht="12.75">
      <c r="A6" t="s">
        <v>5</v>
      </c>
      <c r="B6" s="1">
        <v>77000</v>
      </c>
    </row>
    <row r="7" spans="1:3" ht="12.75">
      <c r="A7" t="s">
        <v>6</v>
      </c>
      <c r="C7" s="1">
        <f>51263.66*12</f>
        <v>615163.92</v>
      </c>
    </row>
    <row r="8" spans="1:3" ht="12.75">
      <c r="A8" t="s">
        <v>37</v>
      </c>
      <c r="C8" s="1">
        <f>2500*12</f>
        <v>30000</v>
      </c>
    </row>
    <row r="9" spans="1:3" ht="12.75">
      <c r="A9" t="s">
        <v>26</v>
      </c>
      <c r="C9" s="1">
        <f>2660*12</f>
        <v>31920</v>
      </c>
    </row>
    <row r="10" spans="1:3" ht="12.75">
      <c r="A10" t="s">
        <v>36</v>
      </c>
      <c r="C10" s="1">
        <f>B4*0.03</f>
        <v>46824.285599999996</v>
      </c>
    </row>
    <row r="11" spans="1:3" ht="12.75">
      <c r="A11" t="s">
        <v>27</v>
      </c>
      <c r="C11" s="1">
        <v>64900</v>
      </c>
    </row>
    <row r="12" spans="1:3" ht="12.75">
      <c r="A12" t="s">
        <v>8</v>
      </c>
      <c r="C12" s="1">
        <v>153149</v>
      </c>
    </row>
    <row r="13" spans="1:3" ht="12.75">
      <c r="A13" t="s">
        <v>28</v>
      </c>
      <c r="C13" s="1">
        <v>15000</v>
      </c>
    </row>
    <row r="14" spans="1:3" ht="12.75">
      <c r="A14" t="s">
        <v>9</v>
      </c>
      <c r="C14" s="1">
        <f>2000*12</f>
        <v>24000</v>
      </c>
    </row>
    <row r="15" spans="1:3" ht="12.75">
      <c r="A15" t="s">
        <v>10</v>
      </c>
      <c r="C15" s="1">
        <f>32000*12/0.87</f>
        <v>441379.3103448276</v>
      </c>
    </row>
    <row r="16" spans="1:3" ht="12.75">
      <c r="A16" t="s">
        <v>11</v>
      </c>
      <c r="C16" s="1">
        <f>C15*0.14</f>
        <v>61793.10344827587</v>
      </c>
    </row>
    <row r="17" spans="1:3" ht="12.75">
      <c r="A17" t="s">
        <v>12</v>
      </c>
      <c r="C17" s="1">
        <v>18000</v>
      </c>
    </row>
    <row r="18" spans="1:3" ht="12.75">
      <c r="A18" t="s">
        <v>29</v>
      </c>
      <c r="C18" s="1">
        <v>5000</v>
      </c>
    </row>
    <row r="19" spans="1:3" ht="12.75">
      <c r="A19" t="s">
        <v>34</v>
      </c>
      <c r="C19" s="1">
        <v>130000</v>
      </c>
    </row>
    <row r="20" spans="1:3" ht="12.75">
      <c r="A20" t="s">
        <v>30</v>
      </c>
      <c r="C20" s="1">
        <v>2000</v>
      </c>
    </row>
    <row r="21" spans="1:3" ht="12.75">
      <c r="A21" t="s">
        <v>31</v>
      </c>
      <c r="C21" s="1">
        <v>2000</v>
      </c>
    </row>
    <row r="22" spans="1:3" ht="12.75">
      <c r="A22" t="s">
        <v>32</v>
      </c>
      <c r="C22" s="1">
        <v>11500</v>
      </c>
    </row>
    <row r="23" spans="1:3" ht="12.75">
      <c r="A23" t="s">
        <v>33</v>
      </c>
      <c r="C23" s="1">
        <v>10000</v>
      </c>
    </row>
    <row r="24" spans="1:3" ht="12.75">
      <c r="A24" t="s">
        <v>35</v>
      </c>
      <c r="C24" s="1">
        <v>20000</v>
      </c>
    </row>
    <row r="28" spans="1:3" ht="12.75">
      <c r="A28" t="s">
        <v>7</v>
      </c>
      <c r="B28" s="1">
        <f>SUM(B4:B27)</f>
        <v>1796533.52</v>
      </c>
      <c r="C28" s="1">
        <f>SUM(C4:C27)</f>
        <v>1682629.6193931035</v>
      </c>
    </row>
    <row r="29" spans="1:3" ht="12.75">
      <c r="A29" t="s">
        <v>14</v>
      </c>
      <c r="C29" s="1">
        <f>B28-C28</f>
        <v>113903.9006068965</v>
      </c>
    </row>
    <row r="31" spans="1:3" ht="12.75">
      <c r="A31" t="s">
        <v>15</v>
      </c>
      <c r="B31" s="1">
        <f>6000*1.2/0.87</f>
        <v>8275.862068965518</v>
      </c>
      <c r="C31" s="1">
        <f>B31*0.87</f>
        <v>7200.000000000001</v>
      </c>
    </row>
    <row r="32" spans="1:3" ht="12.75">
      <c r="A32" t="s">
        <v>16</v>
      </c>
      <c r="B32" s="1">
        <f>5000*1.2/0.87</f>
        <v>6896.551724137931</v>
      </c>
      <c r="C32" s="1">
        <f>B32*0.87</f>
        <v>6000</v>
      </c>
    </row>
    <row r="33" spans="1:3" ht="12.75">
      <c r="A33" t="s">
        <v>17</v>
      </c>
      <c r="B33" s="1">
        <v>8000</v>
      </c>
      <c r="C33" s="1">
        <f>B33*0.87</f>
        <v>6960</v>
      </c>
    </row>
    <row r="34" spans="1:3" ht="12.75">
      <c r="A34" t="s">
        <v>18</v>
      </c>
      <c r="B34" s="1">
        <f>2000*1.2/0.87</f>
        <v>2758.6206896551726</v>
      </c>
      <c r="C34" s="1">
        <f>B34*0.87</f>
        <v>2400</v>
      </c>
    </row>
    <row r="35" spans="1:3" ht="12.75">
      <c r="A35" t="s">
        <v>19</v>
      </c>
      <c r="B35" s="1">
        <v>4500</v>
      </c>
      <c r="C35" s="1">
        <f>B35*0.87</f>
        <v>3915</v>
      </c>
    </row>
    <row r="36" ht="12.75">
      <c r="B36" s="1">
        <f>SUM(B31:B35)*12</f>
        <v>365172.4137931035</v>
      </c>
    </row>
    <row r="38" spans="2:3" ht="12.75">
      <c r="B38" s="1" t="s">
        <v>20</v>
      </c>
      <c r="C38" s="1" t="s">
        <v>25</v>
      </c>
    </row>
    <row r="39" spans="1:2" ht="12.75">
      <c r="A39" t="s">
        <v>21</v>
      </c>
      <c r="B39" s="1">
        <f>2*30</f>
        <v>60</v>
      </c>
    </row>
    <row r="40" spans="1:2" ht="12.75">
      <c r="A40" t="s">
        <v>22</v>
      </c>
      <c r="B40" s="1">
        <f>2*2*3</f>
        <v>12</v>
      </c>
    </row>
    <row r="41" spans="1:2" ht="12.75">
      <c r="A41" t="s">
        <v>23</v>
      </c>
      <c r="B41" s="1">
        <f>3*5</f>
        <v>15</v>
      </c>
    </row>
    <row r="42" spans="1:3" ht="12.75">
      <c r="A42" t="s">
        <v>24</v>
      </c>
      <c r="B42" s="1">
        <f>SUM(B39:B41)</f>
        <v>87</v>
      </c>
      <c r="C42" s="1">
        <f>C33/B42</f>
        <v>80</v>
      </c>
    </row>
    <row r="45" spans="2:3" ht="12.75">
      <c r="B45" s="1">
        <f>8.85/7.8</f>
        <v>1.1346153846153846</v>
      </c>
      <c r="C45" s="1">
        <f>10.27/8.85</f>
        <v>1.16045197740113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9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42.625" style="0" customWidth="1"/>
    <col min="3" max="3" width="21.875" style="0" customWidth="1"/>
  </cols>
  <sheetData>
    <row r="1" ht="13.5" thickBot="1">
      <c r="B1" t="s">
        <v>148</v>
      </c>
    </row>
    <row r="2" spans="2:6" ht="13.5" thickTop="1">
      <c r="B2" s="24" t="s">
        <v>50</v>
      </c>
      <c r="C2" s="26" t="s">
        <v>72</v>
      </c>
      <c r="D2" s="27"/>
      <c r="E2" s="16"/>
      <c r="F2" s="16"/>
    </row>
    <row r="3" spans="2:6" ht="12.75">
      <c r="B3" s="25"/>
      <c r="C3" s="7" t="s">
        <v>73</v>
      </c>
      <c r="D3" s="7" t="s">
        <v>74</v>
      </c>
      <c r="E3" s="6"/>
      <c r="F3" s="6"/>
    </row>
    <row r="4" spans="2:6" ht="12.75">
      <c r="B4" s="8" t="s">
        <v>75</v>
      </c>
      <c r="C4" s="9">
        <v>608750</v>
      </c>
      <c r="D4" s="10">
        <v>7305000</v>
      </c>
      <c r="E4" s="6"/>
      <c r="F4" s="6"/>
    </row>
    <row r="5" spans="2:6" ht="24">
      <c r="B5" s="8" t="s">
        <v>76</v>
      </c>
      <c r="C5" s="9">
        <v>85595</v>
      </c>
      <c r="D5" s="10">
        <v>1027140</v>
      </c>
      <c r="E5" s="6"/>
      <c r="F5" s="6"/>
    </row>
    <row r="6" spans="2:6" ht="12.75">
      <c r="B6" s="8" t="s">
        <v>77</v>
      </c>
      <c r="C6" s="9">
        <v>204000</v>
      </c>
      <c r="D6" s="10">
        <v>2448000</v>
      </c>
      <c r="E6" s="6"/>
      <c r="F6" s="6"/>
    </row>
    <row r="7" spans="2:6" ht="13.5">
      <c r="B7" s="8" t="s">
        <v>78</v>
      </c>
      <c r="C7" s="9">
        <v>127565</v>
      </c>
      <c r="D7" s="10">
        <v>1530779.9</v>
      </c>
      <c r="E7" s="6"/>
      <c r="F7" s="6"/>
    </row>
    <row r="8" spans="2:6" ht="25.5">
      <c r="B8" s="8" t="s">
        <v>79</v>
      </c>
      <c r="C8" s="9">
        <v>28000</v>
      </c>
      <c r="D8" s="10">
        <v>336000</v>
      </c>
      <c r="E8" s="6"/>
      <c r="F8" s="6"/>
    </row>
    <row r="9" spans="2:6" ht="24">
      <c r="B9" s="8" t="s">
        <v>80</v>
      </c>
      <c r="C9" s="9">
        <v>28500</v>
      </c>
      <c r="D9" s="10">
        <v>342000</v>
      </c>
      <c r="E9" s="6"/>
      <c r="F9" s="6"/>
    </row>
    <row r="10" spans="2:6" ht="24">
      <c r="B10" s="8" t="s">
        <v>81</v>
      </c>
      <c r="C10" s="9">
        <v>12500</v>
      </c>
      <c r="D10" s="10">
        <v>150000</v>
      </c>
      <c r="E10" s="6"/>
      <c r="F10" s="6"/>
    </row>
    <row r="11" spans="2:6" ht="13.5">
      <c r="B11" s="8" t="s">
        <v>82</v>
      </c>
      <c r="C11" s="9">
        <v>87211.8</v>
      </c>
      <c r="D11" s="10">
        <v>1046541.6</v>
      </c>
      <c r="E11" s="6"/>
      <c r="F11" s="6"/>
    </row>
    <row r="12" spans="2:6" ht="24">
      <c r="B12" s="8" t="s">
        <v>83</v>
      </c>
      <c r="C12" s="9">
        <v>2000</v>
      </c>
      <c r="D12" s="10">
        <v>24000</v>
      </c>
      <c r="E12" s="6"/>
      <c r="F12" s="6"/>
    </row>
    <row r="13" spans="2:6" ht="12.75">
      <c r="B13" s="8" t="s">
        <v>84</v>
      </c>
      <c r="C13" s="11">
        <v>15500</v>
      </c>
      <c r="D13" s="10">
        <v>186000</v>
      </c>
      <c r="E13" s="6"/>
      <c r="F13" s="6"/>
    </row>
    <row r="14" spans="2:6" ht="12.75">
      <c r="B14" s="8" t="s">
        <v>85</v>
      </c>
      <c r="C14" s="11">
        <v>156694</v>
      </c>
      <c r="D14" s="10">
        <v>1880326.6</v>
      </c>
      <c r="E14" s="6"/>
      <c r="F14" s="6"/>
    </row>
    <row r="15" spans="2:6" ht="12.75">
      <c r="B15" s="8" t="s">
        <v>86</v>
      </c>
      <c r="C15" s="11">
        <v>12300</v>
      </c>
      <c r="D15" s="10">
        <v>147600</v>
      </c>
      <c r="E15" s="6"/>
      <c r="F15" s="6"/>
    </row>
    <row r="16" spans="2:6" ht="13.5">
      <c r="B16" s="8" t="s">
        <v>87</v>
      </c>
      <c r="C16" s="11">
        <v>32951</v>
      </c>
      <c r="D16" s="10">
        <v>395409.6</v>
      </c>
      <c r="E16" s="6"/>
      <c r="F16" s="6"/>
    </row>
    <row r="17" spans="2:6" ht="12.75">
      <c r="B17" s="8" t="s">
        <v>88</v>
      </c>
      <c r="C17" s="11">
        <v>11200</v>
      </c>
      <c r="D17" s="10">
        <v>134400</v>
      </c>
      <c r="E17" s="6"/>
      <c r="F17" s="6"/>
    </row>
    <row r="18" spans="2:6" ht="12.75">
      <c r="B18" s="8" t="s">
        <v>89</v>
      </c>
      <c r="C18" s="9">
        <v>77732</v>
      </c>
      <c r="D18" s="10">
        <v>932784</v>
      </c>
      <c r="E18" s="6"/>
      <c r="F18" s="6"/>
    </row>
    <row r="19" spans="2:6" ht="12.75">
      <c r="B19" s="8" t="s">
        <v>90</v>
      </c>
      <c r="C19" s="9">
        <v>377431.9</v>
      </c>
      <c r="D19" s="10">
        <v>4529182.7</v>
      </c>
      <c r="E19" s="6"/>
      <c r="F19" s="6"/>
    </row>
    <row r="20" spans="2:6" ht="12.75">
      <c r="B20" s="8" t="s">
        <v>91</v>
      </c>
      <c r="C20" s="9">
        <v>172900</v>
      </c>
      <c r="D20" s="10">
        <v>2074800</v>
      </c>
      <c r="E20" s="6"/>
      <c r="F20" s="6"/>
    </row>
    <row r="21" spans="2:6" ht="12.75">
      <c r="B21" s="8" t="s">
        <v>92</v>
      </c>
      <c r="C21" s="9">
        <v>10538.7</v>
      </c>
      <c r="D21" s="10">
        <v>126464.4</v>
      </c>
      <c r="E21" s="6"/>
      <c r="F21" s="6"/>
    </row>
    <row r="22" spans="2:6" ht="12.75">
      <c r="B22" s="8" t="s">
        <v>93</v>
      </c>
      <c r="C22" s="12">
        <v>2051369.1</v>
      </c>
      <c r="D22" s="13">
        <v>24616428.7</v>
      </c>
      <c r="E22" s="6"/>
      <c r="F22" s="6"/>
    </row>
    <row r="23" spans="2:6" ht="12.75">
      <c r="B23" s="8" t="s">
        <v>94</v>
      </c>
      <c r="C23" s="9">
        <v>14500</v>
      </c>
      <c r="D23" s="10">
        <v>174000</v>
      </c>
      <c r="E23" s="6"/>
      <c r="F23" s="6"/>
    </row>
    <row r="24" spans="2:6" ht="12.75">
      <c r="B24" s="8" t="s">
        <v>95</v>
      </c>
      <c r="C24" s="12">
        <v>2065869.1</v>
      </c>
      <c r="D24" s="13">
        <v>24790428.7</v>
      </c>
      <c r="E24" s="6"/>
      <c r="F24" s="6"/>
    </row>
    <row r="25" spans="2:6" ht="24">
      <c r="B25" s="8" t="s">
        <v>96</v>
      </c>
      <c r="C25" s="9">
        <v>100000</v>
      </c>
      <c r="D25" s="10">
        <v>448800</v>
      </c>
      <c r="E25" s="6"/>
      <c r="F25" s="6"/>
    </row>
    <row r="26" spans="2:6" ht="12.75">
      <c r="B26" s="8" t="s">
        <v>97</v>
      </c>
      <c r="C26" s="12">
        <v>1965869.1</v>
      </c>
      <c r="D26" s="13">
        <v>23590428.7</v>
      </c>
      <c r="E26" s="6"/>
      <c r="F26" s="6"/>
    </row>
    <row r="27" spans="2:6" ht="12.75">
      <c r="B27" s="14" t="s">
        <v>98</v>
      </c>
      <c r="C27" s="13">
        <v>23.9</v>
      </c>
      <c r="D27" s="8"/>
      <c r="E27" s="6"/>
      <c r="F27" s="6"/>
    </row>
    <row r="28" spans="2:6" ht="12.75">
      <c r="B28" s="32"/>
      <c r="C28" s="32"/>
      <c r="D28" s="32"/>
      <c r="E28" s="32"/>
      <c r="F28" s="32"/>
    </row>
    <row r="29" spans="2:6" ht="12.75">
      <c r="B29" s="33" t="s">
        <v>99</v>
      </c>
      <c r="C29" s="33"/>
      <c r="D29" s="33"/>
      <c r="E29" s="33"/>
      <c r="F29" s="33"/>
    </row>
    <row r="30" spans="2:6" ht="12.75">
      <c r="B30" s="33" t="s">
        <v>100</v>
      </c>
      <c r="C30" s="33"/>
      <c r="D30" s="33"/>
      <c r="E30" s="33"/>
      <c r="F30" s="33"/>
    </row>
    <row r="31" spans="2:6" ht="12.75">
      <c r="B31" s="33" t="s">
        <v>101</v>
      </c>
      <c r="C31" s="33"/>
      <c r="D31" s="33"/>
      <c r="E31" s="33"/>
      <c r="F31" s="33"/>
    </row>
    <row r="32" spans="2:6" ht="12.75">
      <c r="B32" s="33" t="s">
        <v>102</v>
      </c>
      <c r="C32" s="33"/>
      <c r="D32" s="33"/>
      <c r="E32" s="33"/>
      <c r="F32" s="33"/>
    </row>
    <row r="33" spans="2:6" ht="12.75">
      <c r="B33" s="33" t="s">
        <v>103</v>
      </c>
      <c r="C33" s="33"/>
      <c r="D33" s="33"/>
      <c r="E33" s="33"/>
      <c r="F33" s="33"/>
    </row>
    <row r="34" spans="2:6" ht="12.75">
      <c r="B34" s="35"/>
      <c r="C34" s="35"/>
      <c r="D34" s="35"/>
      <c r="E34" s="35"/>
      <c r="F34" s="35"/>
    </row>
    <row r="35" spans="2:6" ht="12.75">
      <c r="B35" s="36"/>
      <c r="C35" s="36"/>
      <c r="D35" s="36"/>
      <c r="E35" s="36"/>
      <c r="F35" s="36"/>
    </row>
    <row r="36" spans="2:6" ht="12.75">
      <c r="B36" s="35"/>
      <c r="C36" s="35"/>
      <c r="D36" s="35"/>
      <c r="E36" s="35"/>
      <c r="F36" s="35"/>
    </row>
    <row r="37" spans="2:6" ht="12.75">
      <c r="B37" s="37" t="s">
        <v>104</v>
      </c>
      <c r="C37" s="37"/>
      <c r="D37" s="37"/>
      <c r="E37" s="37"/>
      <c r="F37" s="37"/>
    </row>
    <row r="38" spans="2:6" ht="12.75">
      <c r="B38" s="34"/>
      <c r="C38" s="34"/>
      <c r="D38" s="34"/>
      <c r="E38" s="34"/>
      <c r="F38" s="34"/>
    </row>
    <row r="39" spans="2:6" ht="12.75">
      <c r="B39" s="28" t="s">
        <v>105</v>
      </c>
      <c r="C39" s="28" t="s">
        <v>106</v>
      </c>
      <c r="D39" s="29" t="s">
        <v>107</v>
      </c>
      <c r="E39" s="30"/>
      <c r="F39" s="31"/>
    </row>
    <row r="40" spans="2:6" ht="12.75">
      <c r="B40" s="25"/>
      <c r="C40" s="25"/>
      <c r="D40" s="7" t="s">
        <v>108</v>
      </c>
      <c r="E40" s="7" t="s">
        <v>109</v>
      </c>
      <c r="F40" s="7" t="s">
        <v>110</v>
      </c>
    </row>
    <row r="41" spans="2:6" ht="12.75">
      <c r="B41" s="15" t="s">
        <v>111</v>
      </c>
      <c r="C41" s="8" t="s">
        <v>112</v>
      </c>
      <c r="D41" s="10">
        <v>1</v>
      </c>
      <c r="E41" s="15">
        <v>45000</v>
      </c>
      <c r="F41" s="15">
        <v>45000</v>
      </c>
    </row>
    <row r="42" spans="2:6" ht="24">
      <c r="B42" s="15" t="s">
        <v>113</v>
      </c>
      <c r="C42" s="8" t="s">
        <v>114</v>
      </c>
      <c r="D42" s="10">
        <v>1</v>
      </c>
      <c r="E42" s="15">
        <v>20000</v>
      </c>
      <c r="F42" s="15">
        <v>20000</v>
      </c>
    </row>
    <row r="43" spans="2:6" ht="12.75">
      <c r="B43" s="15" t="s">
        <v>115</v>
      </c>
      <c r="C43" s="8" t="s">
        <v>116</v>
      </c>
      <c r="D43" s="10">
        <v>1</v>
      </c>
      <c r="E43" s="15">
        <v>25000</v>
      </c>
      <c r="F43" s="15">
        <v>25000</v>
      </c>
    </row>
    <row r="44" spans="2:6" ht="12.75">
      <c r="B44" s="15" t="s">
        <v>117</v>
      </c>
      <c r="C44" s="8" t="s">
        <v>118</v>
      </c>
      <c r="D44" s="10">
        <v>2</v>
      </c>
      <c r="E44" s="15">
        <v>22000</v>
      </c>
      <c r="F44" s="15">
        <v>44000</v>
      </c>
    </row>
    <row r="45" spans="2:6" ht="12.75">
      <c r="B45" s="15" t="s">
        <v>119</v>
      </c>
      <c r="C45" s="8" t="s">
        <v>120</v>
      </c>
      <c r="D45" s="10">
        <v>0.5</v>
      </c>
      <c r="E45" s="15">
        <v>26000</v>
      </c>
      <c r="F45" s="15">
        <v>13000</v>
      </c>
    </row>
    <row r="46" spans="2:6" ht="12.75">
      <c r="B46" s="15" t="s">
        <v>121</v>
      </c>
      <c r="C46" s="8" t="s">
        <v>122</v>
      </c>
      <c r="D46" s="10">
        <v>1</v>
      </c>
      <c r="E46" s="15">
        <v>23000</v>
      </c>
      <c r="F46" s="15">
        <v>23000</v>
      </c>
    </row>
    <row r="47" spans="2:6" ht="12.75">
      <c r="B47" s="15" t="s">
        <v>123</v>
      </c>
      <c r="C47" s="8" t="s">
        <v>124</v>
      </c>
      <c r="D47" s="10">
        <v>6</v>
      </c>
      <c r="E47" s="15">
        <v>20000</v>
      </c>
      <c r="F47" s="15">
        <v>120000</v>
      </c>
    </row>
    <row r="48" spans="2:6" ht="12.75">
      <c r="B48" s="15" t="s">
        <v>125</v>
      </c>
      <c r="C48" s="8" t="s">
        <v>126</v>
      </c>
      <c r="D48" s="10">
        <v>1.5</v>
      </c>
      <c r="E48" s="15">
        <v>18500</v>
      </c>
      <c r="F48" s="15">
        <v>27750</v>
      </c>
    </row>
    <row r="49" spans="2:6" ht="12.75">
      <c r="B49" s="15" t="s">
        <v>127</v>
      </c>
      <c r="C49" s="8" t="s">
        <v>128</v>
      </c>
      <c r="D49" s="10">
        <v>0.5</v>
      </c>
      <c r="E49" s="15">
        <v>7000</v>
      </c>
      <c r="F49" s="15">
        <v>3500</v>
      </c>
    </row>
    <row r="50" spans="2:6" ht="12.75">
      <c r="B50" s="15" t="s">
        <v>129</v>
      </c>
      <c r="C50" s="8" t="s">
        <v>130</v>
      </c>
      <c r="D50" s="10">
        <v>4</v>
      </c>
      <c r="E50" s="15">
        <v>9500</v>
      </c>
      <c r="F50" s="15">
        <v>38000</v>
      </c>
    </row>
    <row r="51" spans="2:6" ht="24">
      <c r="B51" s="15" t="s">
        <v>131</v>
      </c>
      <c r="C51" s="8" t="s">
        <v>132</v>
      </c>
      <c r="D51" s="10">
        <v>12</v>
      </c>
      <c r="E51" s="15">
        <v>7000</v>
      </c>
      <c r="F51" s="15">
        <v>84000</v>
      </c>
    </row>
    <row r="52" spans="2:6" ht="12.75">
      <c r="B52" s="15" t="s">
        <v>133</v>
      </c>
      <c r="C52" s="8" t="s">
        <v>134</v>
      </c>
      <c r="D52" s="10">
        <v>8</v>
      </c>
      <c r="E52" s="15">
        <v>10000</v>
      </c>
      <c r="F52" s="15">
        <v>80000</v>
      </c>
    </row>
    <row r="53" spans="2:6" ht="12.75">
      <c r="B53" s="15" t="s">
        <v>135</v>
      </c>
      <c r="C53" s="8" t="s">
        <v>136</v>
      </c>
      <c r="D53" s="10">
        <v>0.5</v>
      </c>
      <c r="E53" s="15">
        <v>14000</v>
      </c>
      <c r="F53" s="15">
        <v>7000</v>
      </c>
    </row>
    <row r="54" spans="2:6" ht="12.75">
      <c r="B54" s="15" t="s">
        <v>137</v>
      </c>
      <c r="C54" s="8" t="s">
        <v>138</v>
      </c>
      <c r="D54" s="10">
        <v>1</v>
      </c>
      <c r="E54" s="15">
        <v>19000</v>
      </c>
      <c r="F54" s="15">
        <v>19000</v>
      </c>
    </row>
    <row r="55" spans="2:6" ht="12.75">
      <c r="B55" s="15" t="s">
        <v>139</v>
      </c>
      <c r="C55" s="8" t="s">
        <v>140</v>
      </c>
      <c r="D55" s="10">
        <v>1</v>
      </c>
      <c r="E55" s="15">
        <v>20000</v>
      </c>
      <c r="F55" s="15">
        <v>20000</v>
      </c>
    </row>
    <row r="56" spans="2:6" ht="12.75">
      <c r="B56" s="15" t="s">
        <v>141</v>
      </c>
      <c r="C56" s="8" t="s">
        <v>142</v>
      </c>
      <c r="D56" s="10">
        <v>1</v>
      </c>
      <c r="E56" s="15">
        <v>16000</v>
      </c>
      <c r="F56" s="15">
        <v>16000</v>
      </c>
    </row>
    <row r="57" spans="2:6" ht="12.75">
      <c r="B57" s="15" t="s">
        <v>143</v>
      </c>
      <c r="C57" s="8" t="s">
        <v>144</v>
      </c>
      <c r="D57" s="10">
        <v>1</v>
      </c>
      <c r="E57" s="15">
        <v>10500</v>
      </c>
      <c r="F57" s="15">
        <v>10500</v>
      </c>
    </row>
    <row r="58" spans="2:6" ht="12.75">
      <c r="B58" s="15" t="s">
        <v>145</v>
      </c>
      <c r="C58" s="8" t="s">
        <v>146</v>
      </c>
      <c r="D58" s="10">
        <v>0.5</v>
      </c>
      <c r="E58" s="15">
        <v>26000</v>
      </c>
      <c r="F58" s="15">
        <v>13000</v>
      </c>
    </row>
    <row r="59" spans="2:6" ht="12.75">
      <c r="B59" s="29" t="s">
        <v>147</v>
      </c>
      <c r="C59" s="31"/>
      <c r="D59" s="13">
        <v>43.5</v>
      </c>
      <c r="E59" s="10"/>
      <c r="F59" s="7">
        <v>608750</v>
      </c>
    </row>
  </sheetData>
  <sheetProtection/>
  <mergeCells count="17">
    <mergeCell ref="B38:F38"/>
    <mergeCell ref="B32:F32"/>
    <mergeCell ref="B33:F33"/>
    <mergeCell ref="B34:F34"/>
    <mergeCell ref="B35:F35"/>
    <mergeCell ref="B36:F36"/>
    <mergeCell ref="B37:F37"/>
    <mergeCell ref="B2:B3"/>
    <mergeCell ref="C2:D2"/>
    <mergeCell ref="B39:B40"/>
    <mergeCell ref="C39:C40"/>
    <mergeCell ref="D39:F39"/>
    <mergeCell ref="B59:C59"/>
    <mergeCell ref="B28:F28"/>
    <mergeCell ref="B29:F29"/>
    <mergeCell ref="B30:F30"/>
    <mergeCell ref="B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2011-07-05T09:44:12Z</cp:lastPrinted>
  <dcterms:created xsi:type="dcterms:W3CDTF">2009-05-01T04:20:13Z</dcterms:created>
  <dcterms:modified xsi:type="dcterms:W3CDTF">2011-10-11T10:31:11Z</dcterms:modified>
  <cp:category/>
  <cp:version/>
  <cp:contentType/>
  <cp:contentStatus/>
</cp:coreProperties>
</file>